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2"/>
  </bookViews>
  <sheets>
    <sheet name="стр.1" sheetId="1" r:id="rId1"/>
    <sheet name="стр.3" sheetId="2" r:id="rId2"/>
    <sheet name="стр.4" sheetId="3" r:id="rId3"/>
  </sheets>
  <definedNames>
    <definedName name="_xlnm.Print_Area" localSheetId="0">стр.1!$A$1:$E$26</definedName>
    <definedName name="_xlnm.Print_Area" localSheetId="1">стр.3!$A$1:$E$31</definedName>
    <definedName name="_xlnm.Print_Area" localSheetId="2">стр.4!$A$1:$J$37</definedName>
  </definedNames>
  <calcPr calcId="145621"/>
</workbook>
</file>

<file path=xl/calcChain.xml><?xml version="1.0" encoding="utf-8"?>
<calcChain xmlns="http://schemas.openxmlformats.org/spreadsheetml/2006/main">
  <c r="G32" i="3" l="1"/>
  <c r="G33" i="3"/>
  <c r="G34" i="3"/>
  <c r="G31" i="3"/>
  <c r="G30" i="3"/>
  <c r="G28" i="3"/>
  <c r="G27" i="3"/>
  <c r="G26" i="3"/>
  <c r="G25" i="3"/>
  <c r="G20" i="3"/>
  <c r="H15" i="3"/>
  <c r="G14" i="3"/>
  <c r="H14" i="3"/>
  <c r="G11" i="3"/>
  <c r="G9" i="3"/>
  <c r="H9" i="3" s="1"/>
  <c r="G8" i="3"/>
  <c r="G18" i="3"/>
  <c r="H18" i="3" s="1"/>
  <c r="G17" i="3"/>
  <c r="H11" i="3"/>
  <c r="G10" i="3"/>
  <c r="G15" i="3"/>
  <c r="G13" i="3"/>
  <c r="H13" i="3" s="1"/>
  <c r="H17" i="3"/>
  <c r="H10" i="3"/>
  <c r="H8" i="3"/>
  <c r="E12" i="3"/>
  <c r="F12" i="3"/>
  <c r="E18" i="2"/>
  <c r="E17" i="2"/>
  <c r="E19" i="2" s="1"/>
  <c r="E16" i="2"/>
  <c r="G23" i="3" l="1"/>
  <c r="G21" i="3"/>
  <c r="E12" i="1"/>
  <c r="G16" i="3"/>
  <c r="H16" i="3" s="1"/>
  <c r="K18" i="3" s="1"/>
  <c r="F19" i="2" l="1"/>
  <c r="H31" i="3"/>
  <c r="H32" i="3"/>
  <c r="E24" i="3"/>
  <c r="H29" i="3"/>
  <c r="E29" i="3"/>
  <c r="E28" i="3"/>
  <c r="H28" i="3"/>
  <c r="H26" i="3"/>
  <c r="H25" i="3"/>
  <c r="H34" i="3"/>
  <c r="H33" i="3"/>
  <c r="H30" i="3"/>
  <c r="H27" i="3"/>
  <c r="E34" i="3"/>
  <c r="E33" i="3"/>
  <c r="E30" i="3"/>
  <c r="E32" i="3"/>
  <c r="E31" i="3"/>
  <c r="E27" i="3"/>
  <c r="E25" i="3"/>
  <c r="E26" i="3"/>
  <c r="G24" i="3"/>
  <c r="H24" i="3" s="1"/>
  <c r="H23" i="3"/>
  <c r="E23" i="3"/>
  <c r="E22" i="3"/>
  <c r="G22" i="3"/>
  <c r="H22" i="3" s="1"/>
  <c r="E21" i="3"/>
  <c r="H21" i="3"/>
  <c r="H20" i="3"/>
  <c r="F20" i="3" s="1"/>
  <c r="G19" i="3"/>
  <c r="H19" i="3" s="1"/>
  <c r="F19" i="3" s="1"/>
  <c r="E10" i="3"/>
  <c r="F9" i="3"/>
  <c r="E18" i="3"/>
  <c r="E17" i="3"/>
  <c r="E16" i="3"/>
  <c r="E15" i="3"/>
  <c r="F15" i="3" s="1"/>
  <c r="E14" i="3"/>
  <c r="E13" i="3"/>
  <c r="E11" i="3"/>
  <c r="E8" i="3"/>
  <c r="K34" i="3" l="1"/>
  <c r="H35" i="3"/>
  <c r="K35" i="3" s="1"/>
  <c r="K36" i="3" s="1"/>
  <c r="C12" i="1"/>
  <c r="C13" i="1" s="1"/>
  <c r="E20" i="2"/>
  <c r="D12" i="1" s="1"/>
  <c r="D13" i="1" s="1"/>
  <c r="F10" i="3"/>
  <c r="F34" i="3"/>
  <c r="F21" i="3"/>
  <c r="F22" i="3"/>
  <c r="F11" i="3"/>
  <c r="F14" i="3"/>
  <c r="F16" i="3"/>
  <c r="F18" i="3"/>
  <c r="F8" i="3"/>
  <c r="F17" i="3"/>
  <c r="F23" i="3"/>
  <c r="F33" i="3"/>
  <c r="F31" i="3"/>
  <c r="F27" i="3"/>
  <c r="F26" i="3"/>
  <c r="F30" i="3"/>
  <c r="F25" i="3"/>
  <c r="K24" i="3"/>
  <c r="E13" i="1"/>
</calcChain>
</file>

<file path=xl/sharedStrings.xml><?xml version="1.0" encoding="utf-8"?>
<sst xmlns="http://schemas.openxmlformats.org/spreadsheetml/2006/main" count="129" uniqueCount="67">
  <si>
    <t>Разборка объектов гаражного строительства на территории инновационного центра "Сколково"</t>
  </si>
  <si>
    <t>№ п.п.</t>
  </si>
  <si>
    <t>Наименование объекта</t>
  </si>
  <si>
    <t>Стоимость (тыс.руб.)</t>
  </si>
  <si>
    <t>в ценах ноябрь 2014г.</t>
  </si>
  <si>
    <t>без НДС</t>
  </si>
  <si>
    <t>НДС 18%</t>
  </si>
  <si>
    <t>с учетом НДС</t>
  </si>
  <si>
    <t>В том числе инфляционная составляющая</t>
  </si>
  <si>
    <t>ИТОГО:</t>
  </si>
  <si>
    <t>Формирование начальной (максимальной) цены предмета закупок</t>
  </si>
  <si>
    <t>Расчет стоимости выполнен на основании:</t>
  </si>
  <si>
    <t>Наименование</t>
  </si>
  <si>
    <t>Ед-ца изм.</t>
  </si>
  <si>
    <t>Кол-во</t>
  </si>
  <si>
    <t>Стоимость (руб.)</t>
  </si>
  <si>
    <t>шт.</t>
  </si>
  <si>
    <t xml:space="preserve">Разборка объектов гаражного строительства из ж/б методом обрушения на территории ПГСК «Нива» </t>
  </si>
  <si>
    <t>Разборка металлических объектов гаражного строительства на территории ПГСК «Нива»</t>
  </si>
  <si>
    <t>Разборка объектов гаражного строительства из керамзитобетонных блоков методом обрушения на территории ПГСК «Лабиринт»</t>
  </si>
  <si>
    <t>в т.ч. НДС</t>
  </si>
  <si>
    <t>%</t>
  </si>
  <si>
    <t>в ценах ноября 2014г. с учетом НДС 18%</t>
  </si>
  <si>
    <t>Распределение начальной (максимальной) цены предмета закупок</t>
  </si>
  <si>
    <t>№ п/п</t>
  </si>
  <si>
    <t>Обоснование</t>
  </si>
  <si>
    <t>Наименование задачи</t>
  </si>
  <si>
    <t>Ед.изм.</t>
  </si>
  <si>
    <t>Объем</t>
  </si>
  <si>
    <t>Цена за единицу с НДС, в руб.</t>
  </si>
  <si>
    <t>Стоимость с НДС, в руб.</t>
  </si>
  <si>
    <t>т</t>
  </si>
  <si>
    <t xml:space="preserve">Демонтаж  ворот </t>
  </si>
  <si>
    <t>м</t>
  </si>
  <si>
    <t>Демонтаж вентиляционных труб</t>
  </si>
  <si>
    <t>м2</t>
  </si>
  <si>
    <t>Разборка зданий методом обрушения</t>
  </si>
  <si>
    <t>м3 стр V</t>
  </si>
  <si>
    <t>м3</t>
  </si>
  <si>
    <t>Разборка жб фундамента</t>
  </si>
  <si>
    <t>Прокладка кабеля в трубе</t>
  </si>
  <si>
    <t>Вывоз металлолома</t>
  </si>
  <si>
    <t>Вывоз кирпичного боя</t>
  </si>
  <si>
    <t>Вывоз жб лома от разборки плиты, фундамента</t>
  </si>
  <si>
    <t>Вывоз мусора</t>
  </si>
  <si>
    <t>Демонтаж электропроводки, счетчиков, светильников, щитков</t>
  </si>
  <si>
    <t>1 гараж</t>
  </si>
  <si>
    <t>Локальная смета №1</t>
  </si>
  <si>
    <t>Локальная смета №2</t>
  </si>
  <si>
    <t>Локальная смета №3</t>
  </si>
  <si>
    <t>Разборка зданий методом обрушения с резкой, погрузкой, транспортировкой</t>
  </si>
  <si>
    <t>Восстановление электроснабжения (Прокладка кабеля в трубе)</t>
  </si>
  <si>
    <t>Разбивка плиты перекрытия, фундамента</t>
  </si>
  <si>
    <t>Вывоз жб лома от разборки плиты, фундамента, стен</t>
  </si>
  <si>
    <t>ВСЕГО:</t>
  </si>
  <si>
    <t>Засыпка овощных ям песком</t>
  </si>
  <si>
    <t>2015 год</t>
  </si>
  <si>
    <t>сооружение</t>
  </si>
  <si>
    <t>Приложение 1 (лист1) к Договору</t>
  </si>
  <si>
    <t xml:space="preserve">Начальная (масимальная) цена предмета Закупок </t>
  </si>
  <si>
    <t>"Разборка объектов гаражного строительства на территории инновационного центра "Сколково""</t>
  </si>
  <si>
    <t>Приложение 1 (лист 2) к Договору</t>
  </si>
  <si>
    <r>
      <t xml:space="preserve">Начальная (максимальная) цена предмета закупки "Разборка объектов гаражного строительства на территории инновационного центра "Сколково" составляет </t>
    </r>
    <r>
      <rPr>
        <b/>
        <sz val="11"/>
        <color theme="1"/>
        <rFont val="Calibri"/>
        <family val="2"/>
        <charset val="204"/>
        <scheme val="minor"/>
      </rPr>
      <t>11 334 869,69 (Одиннадцать   миллионов триста тридцать четыре тысяч восемьсот шестьдесят девять рубль шестьдесят девять копейки</t>
    </r>
    <r>
      <rPr>
        <sz val="11"/>
        <color theme="1"/>
        <rFont val="Calibri"/>
        <family val="2"/>
        <scheme val="minor"/>
      </rPr>
      <t>, включая НДС 18% - 1 729 047,92 (один миллион семьсот двадцать девять тысяч сорок семь рублей девяносто две копейки.</t>
    </r>
  </si>
  <si>
    <t>2. Методики определения сметной стоимости строительной продукции на территории Российской Федерации МДС 81-35.2004, Принятой Постановлением Госстроя России № 151 от 05.03.2004 г.;</t>
  </si>
  <si>
    <t>1. Сметного расчета на единицу вида работ, выполненного специалистами Дирекции базисно-индексным методом в сметно-нормативной базе ФЕР-2001 (в редакции 2014г.) с учетом всех дополнений и изменений, выпущенных до настоящего времени в базисном уровне цен 2001 г., с индексами пересчета на ноябрь 2014 г.;</t>
  </si>
  <si>
    <t>Приложение 1 (лист 3) к Договору</t>
  </si>
  <si>
    <t>в т.ч. НДС 18%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</si>
</sst>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26"/>
      <color rgb="FFFF0000"/>
      <name val="Calibri"/>
      <family val="2"/>
      <charset val="204"/>
      <scheme val="minor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4" fontId="0" fillId="0" borderId="1" xfId="0" applyNumberForma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3" fillId="0" borderId="1" xfId="0" applyFont="1" applyBorder="1" applyAlignment="1">
      <alignment horizontal="right"/>
    </xf>
    <xf numFmtId="4" fontId="3" fillId="0" borderId="1" xfId="0" applyNumberFormat="1" applyFont="1" applyBorder="1" applyAlignment="1">
      <alignment horizontal="center" vertical="center"/>
    </xf>
    <xf numFmtId="0" fontId="2" fillId="0" borderId="2" xfId="0" applyFont="1" applyBorder="1"/>
    <xf numFmtId="0" fontId="2" fillId="0" borderId="4" xfId="0" applyFont="1" applyBorder="1"/>
    <xf numFmtId="0" fontId="2" fillId="0" borderId="3" xfId="0" applyFont="1" applyBorder="1"/>
    <xf numFmtId="2" fontId="2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1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" fontId="2" fillId="0" borderId="1" xfId="0" applyNumberFormat="1" applyFont="1" applyBorder="1"/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4" fontId="3" fillId="0" borderId="1" xfId="0" applyNumberFormat="1" applyFont="1" applyBorder="1"/>
    <xf numFmtId="0" fontId="8" fillId="0" borderId="1" xfId="0" applyFont="1" applyBorder="1" applyAlignment="1">
      <alignment horizontal="right"/>
    </xf>
    <xf numFmtId="2" fontId="2" fillId="0" borderId="1" xfId="0" applyNumberFormat="1" applyFont="1" applyBorder="1"/>
    <xf numFmtId="4" fontId="2" fillId="0" borderId="0" xfId="0" applyNumberFormat="1" applyFont="1"/>
    <xf numFmtId="0" fontId="4" fillId="0" borderId="0" xfId="0" applyFont="1" applyAlignment="1">
      <alignment horizontal="center"/>
    </xf>
    <xf numFmtId="2" fontId="0" fillId="0" borderId="0" xfId="0" applyNumberFormat="1"/>
    <xf numFmtId="0" fontId="0" fillId="0" borderId="1" xfId="0" applyBorder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 vertical="top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view="pageBreakPreview" zoomScaleNormal="100" zoomScaleSheetLayoutView="100" workbookViewId="0">
      <selection activeCell="C1" sqref="C1:E1"/>
    </sheetView>
  </sheetViews>
  <sheetFormatPr defaultRowHeight="15" x14ac:dyDescent="0.25"/>
  <cols>
    <col min="1" max="1" width="7" customWidth="1"/>
    <col min="2" max="2" width="47.85546875" customWidth="1"/>
    <col min="3" max="3" width="14.85546875" customWidth="1"/>
    <col min="4" max="4" width="14.7109375" customWidth="1"/>
    <col min="5" max="5" width="15.28515625" customWidth="1"/>
    <col min="6" max="6" width="10.5703125" customWidth="1"/>
  </cols>
  <sheetData>
    <row r="1" spans="1:6" x14ac:dyDescent="0.25">
      <c r="C1" s="46" t="s">
        <v>58</v>
      </c>
      <c r="D1" s="46"/>
      <c r="E1" s="46"/>
    </row>
    <row r="2" spans="1:6" ht="39" customHeight="1" x14ac:dyDescent="0.25">
      <c r="C2" s="47"/>
      <c r="D2" s="47"/>
      <c r="E2" s="47"/>
    </row>
    <row r="3" spans="1:6" ht="33.75" x14ac:dyDescent="0.5">
      <c r="A3" s="49" t="s">
        <v>59</v>
      </c>
      <c r="B3" s="49"/>
      <c r="C3" s="49"/>
      <c r="D3" s="49"/>
      <c r="E3" s="49"/>
      <c r="F3" s="44"/>
    </row>
    <row r="4" spans="1:6" x14ac:dyDescent="0.25">
      <c r="A4" s="50" t="s">
        <v>60</v>
      </c>
      <c r="B4" s="50"/>
      <c r="C4" s="50"/>
      <c r="D4" s="50"/>
      <c r="E4" s="50"/>
    </row>
    <row r="5" spans="1:6" x14ac:dyDescent="0.25">
      <c r="A5" s="6"/>
      <c r="B5" s="6"/>
      <c r="C5" s="6"/>
      <c r="D5" s="6"/>
      <c r="E5" s="6"/>
    </row>
    <row r="6" spans="1:6" x14ac:dyDescent="0.25">
      <c r="A6" s="6"/>
      <c r="B6" s="6"/>
      <c r="C6" s="6"/>
      <c r="D6" s="6"/>
      <c r="E6" s="6"/>
    </row>
    <row r="7" spans="1:6" x14ac:dyDescent="0.25">
      <c r="A7" s="6"/>
      <c r="B7" s="6"/>
      <c r="C7" s="6"/>
      <c r="D7" s="6"/>
      <c r="E7" s="6"/>
    </row>
    <row r="8" spans="1:6" x14ac:dyDescent="0.25">
      <c r="A8" s="53" t="s">
        <v>1</v>
      </c>
      <c r="B8" s="52" t="s">
        <v>2</v>
      </c>
      <c r="C8" s="51" t="s">
        <v>3</v>
      </c>
      <c r="D8" s="51"/>
      <c r="E8" s="51"/>
    </row>
    <row r="9" spans="1:6" x14ac:dyDescent="0.25">
      <c r="A9" s="54"/>
      <c r="B9" s="52"/>
      <c r="C9" s="51" t="s">
        <v>4</v>
      </c>
      <c r="D9" s="51"/>
      <c r="E9" s="51"/>
    </row>
    <row r="10" spans="1:6" x14ac:dyDescent="0.25">
      <c r="A10" s="55"/>
      <c r="B10" s="52"/>
      <c r="C10" s="8" t="s">
        <v>5</v>
      </c>
      <c r="D10" s="8" t="s">
        <v>6</v>
      </c>
      <c r="E10" s="8" t="s">
        <v>7</v>
      </c>
    </row>
    <row r="11" spans="1:6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</row>
    <row r="12" spans="1:6" ht="30" x14ac:dyDescent="0.25">
      <c r="A12" s="10">
        <v>1</v>
      </c>
      <c r="B12" s="11" t="s">
        <v>0</v>
      </c>
      <c r="C12" s="12">
        <f>стр.3!F19</f>
        <v>9605821.7711864412</v>
      </c>
      <c r="D12" s="12">
        <f>стр.3!E20</f>
        <v>1729047.9188135595</v>
      </c>
      <c r="E12" s="12">
        <f>стр.3!E19</f>
        <v>11334869.689999999</v>
      </c>
    </row>
    <row r="13" spans="1:6" x14ac:dyDescent="0.25">
      <c r="A13" s="13"/>
      <c r="B13" s="14" t="s">
        <v>9</v>
      </c>
      <c r="C13" s="15">
        <f>C12</f>
        <v>9605821.7711864412</v>
      </c>
      <c r="D13" s="15">
        <f>D12</f>
        <v>1729047.9188135595</v>
      </c>
      <c r="E13" s="15">
        <f>E12</f>
        <v>11334869.689999999</v>
      </c>
    </row>
    <row r="14" spans="1:6" x14ac:dyDescent="0.25">
      <c r="A14" s="16"/>
      <c r="B14" s="17" t="s">
        <v>8</v>
      </c>
      <c r="C14" s="18"/>
      <c r="D14" s="13"/>
      <c r="E14" s="13"/>
    </row>
    <row r="15" spans="1:6" x14ac:dyDescent="0.25">
      <c r="A15" s="6"/>
      <c r="B15" s="6"/>
      <c r="C15" s="6"/>
      <c r="D15" s="19"/>
      <c r="E15" s="19"/>
    </row>
    <row r="16" spans="1:6" x14ac:dyDescent="0.25">
      <c r="A16" s="6"/>
      <c r="B16" s="6"/>
      <c r="C16" s="6"/>
      <c r="D16" s="6"/>
      <c r="E16" s="6"/>
    </row>
    <row r="17" spans="1:5" x14ac:dyDescent="0.25">
      <c r="A17" s="7"/>
      <c r="B17" s="6"/>
      <c r="C17" s="6"/>
      <c r="D17" s="6"/>
      <c r="E17" s="6"/>
    </row>
    <row r="18" spans="1:5" x14ac:dyDescent="0.25">
      <c r="A18" s="6"/>
      <c r="B18" s="6"/>
      <c r="C18" s="6"/>
      <c r="D18" s="6"/>
      <c r="E18" s="6"/>
    </row>
    <row r="19" spans="1:5" x14ac:dyDescent="0.25">
      <c r="A19" s="7"/>
      <c r="B19" s="6"/>
      <c r="C19" s="6"/>
      <c r="D19" s="6"/>
      <c r="E19" s="6"/>
    </row>
    <row r="20" spans="1:5" x14ac:dyDescent="0.25">
      <c r="A20" s="6"/>
      <c r="B20" s="6"/>
      <c r="C20" s="6"/>
      <c r="D20" s="6"/>
      <c r="E20" s="6"/>
    </row>
    <row r="21" spans="1:5" ht="12" customHeight="1" x14ac:dyDescent="0.25">
      <c r="A21" s="48"/>
      <c r="B21" s="48"/>
      <c r="C21" s="48"/>
      <c r="D21" s="6"/>
      <c r="E21" s="22"/>
    </row>
    <row r="22" spans="1:5" ht="36" customHeight="1" x14ac:dyDescent="0.25">
      <c r="A22" s="6"/>
      <c r="B22" s="6"/>
      <c r="C22" s="6"/>
      <c r="D22" s="6"/>
      <c r="E22" s="6"/>
    </row>
    <row r="23" spans="1:5" x14ac:dyDescent="0.25">
      <c r="A23" s="48"/>
      <c r="B23" s="48"/>
      <c r="C23" s="48"/>
      <c r="D23" s="6"/>
      <c r="E23" s="21"/>
    </row>
    <row r="24" spans="1:5" x14ac:dyDescent="0.25">
      <c r="A24" s="6"/>
      <c r="B24" s="6"/>
      <c r="C24" s="6"/>
      <c r="D24" s="6"/>
      <c r="E24" s="6"/>
    </row>
    <row r="25" spans="1:5" x14ac:dyDescent="0.25">
      <c r="A25" s="6"/>
      <c r="B25" s="6"/>
      <c r="C25" s="6"/>
      <c r="D25" s="6"/>
      <c r="E25" s="6"/>
    </row>
    <row r="26" spans="1:5" x14ac:dyDescent="0.25">
      <c r="A26" s="6"/>
      <c r="B26" s="6"/>
      <c r="C26" s="6"/>
      <c r="D26" s="6"/>
      <c r="E26" s="6"/>
    </row>
    <row r="27" spans="1:5" x14ac:dyDescent="0.25">
      <c r="A27" s="6"/>
      <c r="B27" s="6"/>
      <c r="C27" s="6"/>
      <c r="D27" s="6"/>
      <c r="E27" s="6"/>
    </row>
    <row r="28" spans="1:5" x14ac:dyDescent="0.25">
      <c r="A28" s="6"/>
      <c r="B28" s="6"/>
      <c r="C28" s="6"/>
      <c r="D28" s="6"/>
      <c r="E28" s="6"/>
    </row>
    <row r="29" spans="1:5" ht="31.5" customHeight="1" x14ac:dyDescent="0.25">
      <c r="A29" s="6"/>
      <c r="B29" s="6"/>
      <c r="C29" s="6"/>
      <c r="D29" s="6"/>
      <c r="E29" s="6"/>
    </row>
    <row r="31" spans="1:5" ht="30.75" customHeight="1" x14ac:dyDescent="0.25"/>
    <row r="33" ht="30.75" customHeight="1" x14ac:dyDescent="0.25"/>
  </sheetData>
  <mergeCells count="10">
    <mergeCell ref="C1:E1"/>
    <mergeCell ref="C2:E2"/>
    <mergeCell ref="A23:C23"/>
    <mergeCell ref="A3:E3"/>
    <mergeCell ref="A4:E4"/>
    <mergeCell ref="C8:E8"/>
    <mergeCell ref="C9:E9"/>
    <mergeCell ref="B8:B10"/>
    <mergeCell ref="A8:A10"/>
    <mergeCell ref="A21:C21"/>
  </mergeCells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view="pageBreakPreview" zoomScaleNormal="100" zoomScaleSheetLayoutView="100" workbookViewId="0">
      <selection activeCell="B2" sqref="B2"/>
    </sheetView>
  </sheetViews>
  <sheetFormatPr defaultRowHeight="15" x14ac:dyDescent="0.25"/>
  <cols>
    <col min="1" max="1" width="6.85546875" customWidth="1"/>
    <col min="2" max="2" width="49.85546875" customWidth="1"/>
    <col min="3" max="3" width="11.5703125" customWidth="1"/>
    <col min="4" max="4" width="9.85546875" customWidth="1"/>
    <col min="5" max="5" width="21.28515625" customWidth="1"/>
    <col min="6" max="6" width="13.85546875" customWidth="1"/>
  </cols>
  <sheetData>
    <row r="1" spans="1:6" x14ac:dyDescent="0.25">
      <c r="A1" s="58"/>
      <c r="B1" s="58"/>
      <c r="C1" s="58"/>
      <c r="D1" s="58"/>
      <c r="E1" s="58"/>
    </row>
    <row r="2" spans="1:6" x14ac:dyDescent="0.25">
      <c r="C2" t="s">
        <v>61</v>
      </c>
    </row>
    <row r="4" spans="1:6" x14ac:dyDescent="0.25">
      <c r="A4" s="59" t="s">
        <v>10</v>
      </c>
      <c r="B4" s="59"/>
      <c r="C4" s="59"/>
      <c r="D4" s="59"/>
      <c r="E4" s="59"/>
    </row>
    <row r="5" spans="1:6" x14ac:dyDescent="0.25">
      <c r="A5" s="59" t="s">
        <v>0</v>
      </c>
      <c r="B5" s="59"/>
      <c r="C5" s="59"/>
      <c r="D5" s="59"/>
      <c r="E5" s="59"/>
    </row>
    <row r="7" spans="1:6" x14ac:dyDescent="0.25">
      <c r="A7" t="s">
        <v>11</v>
      </c>
    </row>
    <row r="9" spans="1:6" ht="59.25" customHeight="1" x14ac:dyDescent="0.25">
      <c r="A9" s="56" t="s">
        <v>64</v>
      </c>
      <c r="B9" s="56"/>
      <c r="C9" s="56"/>
      <c r="D9" s="56"/>
      <c r="E9" s="56"/>
    </row>
    <row r="11" spans="1:6" ht="32.25" customHeight="1" x14ac:dyDescent="0.5">
      <c r="A11" s="56" t="s">
        <v>63</v>
      </c>
      <c r="B11" s="56"/>
      <c r="C11" s="56"/>
      <c r="D11" s="56"/>
      <c r="E11" s="56"/>
      <c r="F11" s="44"/>
    </row>
    <row r="13" spans="1:6" x14ac:dyDescent="0.25">
      <c r="A13" s="60" t="s">
        <v>1</v>
      </c>
      <c r="B13" s="60" t="s">
        <v>12</v>
      </c>
      <c r="C13" s="61" t="s">
        <v>13</v>
      </c>
      <c r="D13" s="60" t="s">
        <v>14</v>
      </c>
      <c r="E13" s="2" t="s">
        <v>15</v>
      </c>
    </row>
    <row r="14" spans="1:6" ht="30" x14ac:dyDescent="0.25">
      <c r="A14" s="60"/>
      <c r="B14" s="60"/>
      <c r="C14" s="61"/>
      <c r="D14" s="60"/>
      <c r="E14" s="24" t="s">
        <v>22</v>
      </c>
    </row>
    <row r="15" spans="1:6" x14ac:dyDescent="0.25">
      <c r="A15" s="2">
        <v>1</v>
      </c>
      <c r="B15" s="2">
        <v>2</v>
      </c>
      <c r="C15" s="2">
        <v>3</v>
      </c>
      <c r="D15" s="2">
        <v>4</v>
      </c>
      <c r="E15" s="2">
        <v>5</v>
      </c>
    </row>
    <row r="16" spans="1:6" ht="30" x14ac:dyDescent="0.25">
      <c r="A16" s="2">
        <v>1</v>
      </c>
      <c r="B16" s="25" t="s">
        <v>17</v>
      </c>
      <c r="C16" s="2" t="s">
        <v>57</v>
      </c>
      <c r="D16" s="2">
        <v>49</v>
      </c>
      <c r="E16" s="4">
        <f>73075.54*D16</f>
        <v>3580701.4599999995</v>
      </c>
    </row>
    <row r="17" spans="1:6" ht="30" x14ac:dyDescent="0.25">
      <c r="A17" s="2">
        <v>2</v>
      </c>
      <c r="B17" s="25" t="s">
        <v>18</v>
      </c>
      <c r="C17" s="43" t="s">
        <v>57</v>
      </c>
      <c r="D17" s="2">
        <v>5</v>
      </c>
      <c r="E17" s="4">
        <f>83371.76*D17</f>
        <v>416858.8</v>
      </c>
    </row>
    <row r="18" spans="1:6" ht="45" x14ac:dyDescent="0.25">
      <c r="A18" s="2">
        <v>3</v>
      </c>
      <c r="B18" s="25" t="s">
        <v>19</v>
      </c>
      <c r="C18" s="43" t="s">
        <v>57</v>
      </c>
      <c r="D18" s="2">
        <v>87</v>
      </c>
      <c r="E18" s="4">
        <f>84336.89*D18</f>
        <v>7337309.4299999997</v>
      </c>
    </row>
    <row r="19" spans="1:6" x14ac:dyDescent="0.25">
      <c r="A19" s="3"/>
      <c r="B19" s="26" t="s">
        <v>9</v>
      </c>
      <c r="C19" s="3"/>
      <c r="D19" s="3"/>
      <c r="E19" s="5">
        <f>SUM(E16:E18)</f>
        <v>11334869.689999999</v>
      </c>
      <c r="F19">
        <f>E19/1.18</f>
        <v>9605821.7711864412</v>
      </c>
    </row>
    <row r="20" spans="1:6" x14ac:dyDescent="0.25">
      <c r="A20" s="3"/>
      <c r="B20" s="27" t="s">
        <v>20</v>
      </c>
      <c r="C20" s="28" t="s">
        <v>21</v>
      </c>
      <c r="D20" s="28">
        <v>18</v>
      </c>
      <c r="E20" s="29">
        <f>F19*18%</f>
        <v>1729047.9188135595</v>
      </c>
      <c r="F20" s="23"/>
    </row>
    <row r="22" spans="1:6" ht="77.25" customHeight="1" x14ac:dyDescent="0.25">
      <c r="A22" s="56" t="s">
        <v>62</v>
      </c>
      <c r="B22" s="56"/>
      <c r="C22" s="56"/>
      <c r="D22" s="56"/>
      <c r="E22" s="56"/>
    </row>
    <row r="29" spans="1:6" ht="31.5" customHeight="1" x14ac:dyDescent="0.25">
      <c r="A29" s="57"/>
      <c r="B29" s="57"/>
      <c r="C29" s="6"/>
      <c r="D29" s="6"/>
      <c r="E29" s="22"/>
    </row>
    <row r="30" spans="1:6" x14ac:dyDescent="0.25">
      <c r="A30" s="6"/>
      <c r="B30" s="6"/>
      <c r="C30" s="6"/>
      <c r="D30" s="6"/>
      <c r="E30" s="6"/>
    </row>
    <row r="31" spans="1:6" ht="30.75" customHeight="1" x14ac:dyDescent="0.25">
      <c r="A31" s="57"/>
      <c r="B31" s="57"/>
      <c r="C31" s="6"/>
      <c r="D31" s="6"/>
      <c r="E31" s="21"/>
    </row>
  </sheetData>
  <mergeCells count="12">
    <mergeCell ref="A22:E22"/>
    <mergeCell ref="A29:B29"/>
    <mergeCell ref="A31:B31"/>
    <mergeCell ref="A1:E1"/>
    <mergeCell ref="A4:E4"/>
    <mergeCell ref="A5:E5"/>
    <mergeCell ref="A9:E9"/>
    <mergeCell ref="A11:E11"/>
    <mergeCell ref="A13:A14"/>
    <mergeCell ref="B13:B14"/>
    <mergeCell ref="C13:C14"/>
    <mergeCell ref="D13:D14"/>
  </mergeCells>
  <pageMargins left="0.7" right="0.7" top="0.75" bottom="0.75" header="0.3" footer="0.3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view="pageBreakPreview" zoomScale="75" zoomScaleNormal="100" zoomScaleSheetLayoutView="75" workbookViewId="0">
      <selection activeCell="C37" sqref="C37"/>
    </sheetView>
  </sheetViews>
  <sheetFormatPr defaultRowHeight="15" outlineLevelCol="1" x14ac:dyDescent="0.25"/>
  <cols>
    <col min="1" max="1" width="5.140625" customWidth="1"/>
    <col min="2" max="2" width="20.85546875" customWidth="1"/>
    <col min="3" max="3" width="61.28515625" customWidth="1"/>
    <col min="5" max="5" width="11.5703125" customWidth="1"/>
    <col min="6" max="6" width="14.5703125" customWidth="1"/>
    <col min="7" max="7" width="13.28515625" hidden="1" customWidth="1" outlineLevel="1"/>
    <col min="8" max="8" width="16" customWidth="1" collapsed="1"/>
    <col min="9" max="9" width="10.28515625" customWidth="1"/>
    <col min="10" max="10" width="10.140625" customWidth="1"/>
    <col min="11" max="11" width="14.85546875" customWidth="1"/>
    <col min="12" max="12" width="16.42578125" customWidth="1"/>
  </cols>
  <sheetData>
    <row r="1" spans="1:12" x14ac:dyDescent="0.25">
      <c r="E1" s="62" t="s">
        <v>65</v>
      </c>
      <c r="F1" s="62"/>
      <c r="G1" s="62"/>
      <c r="H1" s="62"/>
    </row>
    <row r="2" spans="1:12" ht="33.75" x14ac:dyDescent="0.5">
      <c r="A2" s="63" t="s">
        <v>23</v>
      </c>
      <c r="B2" s="63"/>
      <c r="C2" s="63"/>
      <c r="D2" s="63"/>
      <c r="E2" s="63"/>
      <c r="F2" s="63"/>
      <c r="G2" s="63"/>
      <c r="H2" s="63"/>
      <c r="I2" s="41"/>
      <c r="J2" s="41"/>
      <c r="K2" s="44"/>
    </row>
    <row r="3" spans="1:12" x14ac:dyDescent="0.25">
      <c r="A3" s="64" t="s">
        <v>0</v>
      </c>
      <c r="B3" s="64"/>
      <c r="C3" s="64"/>
      <c r="D3" s="64"/>
      <c r="E3" s="64"/>
      <c r="F3" s="64"/>
      <c r="G3" s="64"/>
      <c r="H3" s="64"/>
      <c r="I3" s="20"/>
      <c r="J3" s="20"/>
    </row>
    <row r="4" spans="1:12" x14ac:dyDescent="0.25">
      <c r="A4" s="6"/>
      <c r="B4" s="6"/>
      <c r="C4" s="6"/>
      <c r="D4" s="6"/>
      <c r="E4" s="6"/>
      <c r="F4" s="6"/>
      <c r="G4" s="6"/>
      <c r="H4" s="6"/>
      <c r="I4" s="6"/>
      <c r="J4" s="6"/>
    </row>
    <row r="5" spans="1:12" s="1" customFormat="1" ht="16.5" customHeight="1" x14ac:dyDescent="0.25">
      <c r="A5" s="68" t="s">
        <v>24</v>
      </c>
      <c r="B5" s="67" t="s">
        <v>25</v>
      </c>
      <c r="C5" s="67" t="s">
        <v>26</v>
      </c>
      <c r="D5" s="67" t="s">
        <v>27</v>
      </c>
      <c r="E5" s="67" t="s">
        <v>28</v>
      </c>
      <c r="F5" s="68" t="s">
        <v>29</v>
      </c>
      <c r="G5" s="30"/>
      <c r="H5" s="68" t="s">
        <v>30</v>
      </c>
      <c r="I5" s="65" t="s">
        <v>56</v>
      </c>
      <c r="J5" s="66"/>
    </row>
    <row r="6" spans="1:12" s="1" customFormat="1" ht="35.25" customHeight="1" x14ac:dyDescent="0.25">
      <c r="A6" s="68"/>
      <c r="B6" s="67"/>
      <c r="C6" s="67"/>
      <c r="D6" s="67"/>
      <c r="E6" s="67"/>
      <c r="F6" s="68"/>
      <c r="G6" s="30"/>
      <c r="H6" s="68"/>
      <c r="I6" s="30"/>
      <c r="J6" s="30"/>
    </row>
    <row r="7" spans="1:12" s="1" customFormat="1" ht="12" customHeight="1" x14ac:dyDescent="0.25">
      <c r="A7" s="31">
        <v>1</v>
      </c>
      <c r="B7" s="32">
        <v>2</v>
      </c>
      <c r="C7" s="32">
        <v>3</v>
      </c>
      <c r="D7" s="32">
        <v>4</v>
      </c>
      <c r="E7" s="32">
        <v>5</v>
      </c>
      <c r="F7" s="31">
        <v>6</v>
      </c>
      <c r="G7" s="31"/>
      <c r="H7" s="31">
        <v>7</v>
      </c>
      <c r="I7" s="31">
        <v>8</v>
      </c>
      <c r="J7" s="31">
        <v>9</v>
      </c>
    </row>
    <row r="8" spans="1:12" x14ac:dyDescent="0.25">
      <c r="A8" s="10">
        <v>1</v>
      </c>
      <c r="B8" s="13" t="s">
        <v>47</v>
      </c>
      <c r="C8" s="13" t="s">
        <v>32</v>
      </c>
      <c r="D8" s="10" t="s">
        <v>31</v>
      </c>
      <c r="E8" s="12">
        <f>0.124*49</f>
        <v>6.0759999999999996</v>
      </c>
      <c r="F8" s="12">
        <f>H8/E8</f>
        <v>34014.727580645165</v>
      </c>
      <c r="G8" s="33">
        <f>3574.429</f>
        <v>3574.4290000000001</v>
      </c>
      <c r="H8" s="33">
        <f>G8*$K$8*$L$8</f>
        <v>206673.48478</v>
      </c>
      <c r="I8" s="33"/>
      <c r="J8" s="33"/>
      <c r="K8">
        <v>49</v>
      </c>
      <c r="L8">
        <v>1.18</v>
      </c>
    </row>
    <row r="9" spans="1:12" x14ac:dyDescent="0.25">
      <c r="A9" s="10">
        <v>2</v>
      </c>
      <c r="B9" s="13" t="s">
        <v>47</v>
      </c>
      <c r="C9" s="13" t="s">
        <v>45</v>
      </c>
      <c r="D9" s="10" t="s">
        <v>46</v>
      </c>
      <c r="E9" s="12">
        <v>49</v>
      </c>
      <c r="F9" s="12">
        <f t="shared" ref="F9:F34" si="0">H9/E9</f>
        <v>1745.5846200000001</v>
      </c>
      <c r="G9" s="33">
        <f>1479.309</f>
        <v>1479.309</v>
      </c>
      <c r="H9" s="33">
        <f>G9*$K$8*$L$8</f>
        <v>85533.646380000006</v>
      </c>
      <c r="I9" s="33"/>
      <c r="J9" s="33"/>
    </row>
    <row r="10" spans="1:12" x14ac:dyDescent="0.25">
      <c r="A10" s="10">
        <v>3</v>
      </c>
      <c r="B10" s="13" t="s">
        <v>47</v>
      </c>
      <c r="C10" s="13" t="s">
        <v>34</v>
      </c>
      <c r="D10" s="10" t="s">
        <v>35</v>
      </c>
      <c r="E10" s="12">
        <f>2.83*49</f>
        <v>138.67000000000002</v>
      </c>
      <c r="F10" s="12">
        <f t="shared" si="0"/>
        <v>223.80797314487631</v>
      </c>
      <c r="G10" s="33">
        <f>536.7598</f>
        <v>536.75980000000004</v>
      </c>
      <c r="H10" s="33">
        <f>G10*$K$8*$L$8</f>
        <v>31035.451636000002</v>
      </c>
      <c r="I10" s="33"/>
      <c r="J10" s="33"/>
    </row>
    <row r="11" spans="1:12" x14ac:dyDescent="0.25">
      <c r="A11" s="10">
        <v>4</v>
      </c>
      <c r="B11" s="13" t="s">
        <v>47</v>
      </c>
      <c r="C11" s="13" t="s">
        <v>36</v>
      </c>
      <c r="D11" s="10" t="s">
        <v>37</v>
      </c>
      <c r="E11" s="12">
        <f>53.6*49</f>
        <v>2626.4</v>
      </c>
      <c r="F11" s="12">
        <f t="shared" si="0"/>
        <v>515.80419555970138</v>
      </c>
      <c r="G11" s="33">
        <f>23429.7499</f>
        <v>23429.749899999999</v>
      </c>
      <c r="H11" s="33">
        <f>G11*$K$8*$L$8</f>
        <v>1354708.1392179998</v>
      </c>
      <c r="I11" s="33"/>
      <c r="J11" s="33"/>
    </row>
    <row r="12" spans="1:12" x14ac:dyDescent="0.25">
      <c r="A12" s="10">
        <v>5</v>
      </c>
      <c r="B12" s="34" t="s">
        <v>47</v>
      </c>
      <c r="C12" s="13" t="s">
        <v>52</v>
      </c>
      <c r="D12" s="10" t="s">
        <v>38</v>
      </c>
      <c r="E12" s="12">
        <f>4.71*49+1.75*49</f>
        <v>316.53999999999996</v>
      </c>
      <c r="F12" s="12">
        <f t="shared" si="0"/>
        <v>0</v>
      </c>
      <c r="G12" s="33"/>
      <c r="H12" s="33"/>
      <c r="I12" s="33"/>
      <c r="J12" s="33"/>
    </row>
    <row r="13" spans="1:12" x14ac:dyDescent="0.25">
      <c r="A13" s="10">
        <v>6</v>
      </c>
      <c r="B13" s="34" t="s">
        <v>47</v>
      </c>
      <c r="C13" s="13" t="s">
        <v>55</v>
      </c>
      <c r="D13" s="10" t="s">
        <v>38</v>
      </c>
      <c r="E13" s="12">
        <f>31.7*49</f>
        <v>1553.3</v>
      </c>
      <c r="F13" s="12">
        <v>985.77</v>
      </c>
      <c r="G13" s="33">
        <f>26481.6698</f>
        <v>26481.6698</v>
      </c>
      <c r="H13" s="33">
        <f>G13*$K$8*$L$8</f>
        <v>1531170.147836</v>
      </c>
      <c r="I13" s="33"/>
      <c r="J13" s="33"/>
    </row>
    <row r="14" spans="1:12" x14ac:dyDescent="0.25">
      <c r="A14" s="10">
        <v>7</v>
      </c>
      <c r="B14" s="34" t="s">
        <v>47</v>
      </c>
      <c r="C14" s="13" t="s">
        <v>40</v>
      </c>
      <c r="D14" s="10" t="s">
        <v>33</v>
      </c>
      <c r="E14" s="12">
        <f>6*49</f>
        <v>294</v>
      </c>
      <c r="F14" s="12">
        <f t="shared" si="0"/>
        <v>170.59810666666664</v>
      </c>
      <c r="G14" s="33">
        <f>867.448</f>
        <v>867.44799999999998</v>
      </c>
      <c r="H14" s="33">
        <f>G14*$K$8*$L$8</f>
        <v>50155.843359999992</v>
      </c>
      <c r="I14" s="33"/>
      <c r="J14" s="33"/>
    </row>
    <row r="15" spans="1:12" x14ac:dyDescent="0.25">
      <c r="A15" s="10">
        <v>8</v>
      </c>
      <c r="B15" s="34" t="s">
        <v>47</v>
      </c>
      <c r="C15" s="13" t="s">
        <v>41</v>
      </c>
      <c r="D15" s="10" t="s">
        <v>31</v>
      </c>
      <c r="E15" s="12">
        <f>0.13*49</f>
        <v>6.37</v>
      </c>
      <c r="F15" s="12">
        <f>H15/E15</f>
        <v>335.48464678178965</v>
      </c>
      <c r="G15" s="33">
        <f>36.96</f>
        <v>36.96</v>
      </c>
      <c r="H15" s="33">
        <f>G15*$K$8*$L$8+0.01</f>
        <v>2137.0372000000002</v>
      </c>
      <c r="I15" s="33"/>
      <c r="J15" s="33"/>
    </row>
    <row r="16" spans="1:12" x14ac:dyDescent="0.25">
      <c r="A16" s="10">
        <v>9</v>
      </c>
      <c r="B16" s="34" t="s">
        <v>47</v>
      </c>
      <c r="C16" s="13" t="s">
        <v>42</v>
      </c>
      <c r="D16" s="10" t="s">
        <v>31</v>
      </c>
      <c r="E16" s="12">
        <f>1.3*49</f>
        <v>63.7</v>
      </c>
      <c r="F16" s="12">
        <f t="shared" si="0"/>
        <v>218.85369230769228</v>
      </c>
      <c r="G16" s="33">
        <f>241.11</f>
        <v>241.11</v>
      </c>
      <c r="H16" s="33">
        <f>G16*$K$8*$L$8</f>
        <v>13940.9802</v>
      </c>
      <c r="I16" s="33"/>
      <c r="J16" s="33"/>
    </row>
    <row r="17" spans="1:12" x14ac:dyDescent="0.25">
      <c r="A17" s="10">
        <v>10</v>
      </c>
      <c r="B17" s="34" t="s">
        <v>47</v>
      </c>
      <c r="C17" s="13" t="s">
        <v>43</v>
      </c>
      <c r="D17" s="10" t="s">
        <v>31</v>
      </c>
      <c r="E17" s="12">
        <f>45.15*49</f>
        <v>2212.35</v>
      </c>
      <c r="F17" s="12">
        <f t="shared" si="0"/>
        <v>118.53966378737542</v>
      </c>
      <c r="G17" s="33">
        <f>4535.649</f>
        <v>4535.6490000000003</v>
      </c>
      <c r="H17" s="33">
        <f>G17*$K$8*$L$8</f>
        <v>262251.22518000001</v>
      </c>
      <c r="I17" s="33"/>
      <c r="J17" s="33"/>
    </row>
    <row r="18" spans="1:12" x14ac:dyDescent="0.25">
      <c r="A18" s="10">
        <v>11</v>
      </c>
      <c r="B18" s="34" t="s">
        <v>47</v>
      </c>
      <c r="C18" s="13" t="s">
        <v>44</v>
      </c>
      <c r="D18" s="10" t="s">
        <v>31</v>
      </c>
      <c r="E18" s="12">
        <f>0.717*49</f>
        <v>35.132999999999996</v>
      </c>
      <c r="F18" s="12">
        <f t="shared" si="0"/>
        <v>1226.6388005578804</v>
      </c>
      <c r="G18" s="33">
        <f>745.339</f>
        <v>745.33900000000006</v>
      </c>
      <c r="H18" s="33">
        <f>G18*$K$8*$L$8</f>
        <v>43095.500980000004</v>
      </c>
      <c r="I18" s="33"/>
      <c r="J18" s="33"/>
      <c r="K18" s="23">
        <f>SUM(H8:H18)</f>
        <v>3580701.4567699996</v>
      </c>
    </row>
    <row r="19" spans="1:12" x14ac:dyDescent="0.25">
      <c r="A19" s="10">
        <v>12</v>
      </c>
      <c r="B19" s="34" t="s">
        <v>48</v>
      </c>
      <c r="C19" s="13" t="s">
        <v>45</v>
      </c>
      <c r="D19" s="10" t="s">
        <v>46</v>
      </c>
      <c r="E19" s="35">
        <v>5</v>
      </c>
      <c r="F19" s="12">
        <f>H19/E19</f>
        <v>1799.3604</v>
      </c>
      <c r="G19" s="33">
        <f>1524.88</f>
        <v>1524.88</v>
      </c>
      <c r="H19" s="33">
        <f>G19*$K$19*$L$8+0.01</f>
        <v>8996.8019999999997</v>
      </c>
      <c r="I19" s="33"/>
      <c r="J19" s="33"/>
      <c r="K19">
        <v>5</v>
      </c>
    </row>
    <row r="20" spans="1:12" ht="30" x14ac:dyDescent="0.25">
      <c r="A20" s="10">
        <v>13</v>
      </c>
      <c r="B20" s="34" t="s">
        <v>48</v>
      </c>
      <c r="C20" s="36" t="s">
        <v>50</v>
      </c>
      <c r="D20" s="10" t="s">
        <v>16</v>
      </c>
      <c r="E20" s="35">
        <v>5</v>
      </c>
      <c r="F20" s="12">
        <f t="shared" si="0"/>
        <v>18194.292199999996</v>
      </c>
      <c r="G20" s="33">
        <f>15418.89</f>
        <v>15418.89</v>
      </c>
      <c r="H20" s="33">
        <f>G20*$K$19*$L$8+0.01</f>
        <v>90971.460999999981</v>
      </c>
      <c r="I20" s="33"/>
      <c r="J20" s="33"/>
    </row>
    <row r="21" spans="1:12" x14ac:dyDescent="0.25">
      <c r="A21" s="10">
        <v>14</v>
      </c>
      <c r="B21" s="34" t="s">
        <v>48</v>
      </c>
      <c r="C21" s="13" t="s">
        <v>39</v>
      </c>
      <c r="D21" s="10" t="s">
        <v>38</v>
      </c>
      <c r="E21" s="12">
        <f>1.62*5</f>
        <v>8.1000000000000014</v>
      </c>
      <c r="F21" s="12">
        <f t="shared" si="0"/>
        <v>15487.997160493824</v>
      </c>
      <c r="G21" s="33">
        <f>21263.18</f>
        <v>21263.18</v>
      </c>
      <c r="H21" s="33">
        <f>G21*$K$19*$L$8+0.015</f>
        <v>125452.77699999999</v>
      </c>
      <c r="I21" s="33"/>
      <c r="J21" s="33"/>
    </row>
    <row r="22" spans="1:12" x14ac:dyDescent="0.25">
      <c r="A22" s="10">
        <v>15</v>
      </c>
      <c r="B22" s="34" t="s">
        <v>48</v>
      </c>
      <c r="C22" s="13" t="s">
        <v>51</v>
      </c>
      <c r="D22" s="10" t="s">
        <v>33</v>
      </c>
      <c r="E22" s="12">
        <f>6*$K$19</f>
        <v>30</v>
      </c>
      <c r="F22" s="12">
        <f t="shared" si="0"/>
        <v>170.59900000000002</v>
      </c>
      <c r="G22" s="33">
        <f>867.45</f>
        <v>867.45</v>
      </c>
      <c r="H22" s="33">
        <f>G22*$K$19*$L$8+0.015</f>
        <v>5117.97</v>
      </c>
      <c r="I22" s="33"/>
      <c r="J22" s="33"/>
    </row>
    <row r="23" spans="1:12" x14ac:dyDescent="0.25">
      <c r="A23" s="10">
        <v>16</v>
      </c>
      <c r="B23" s="34" t="s">
        <v>48</v>
      </c>
      <c r="C23" s="13" t="s">
        <v>44</v>
      </c>
      <c r="D23" s="10" t="s">
        <v>31</v>
      </c>
      <c r="E23" s="12">
        <f>4*$K$19</f>
        <v>20</v>
      </c>
      <c r="F23" s="12">
        <f t="shared" si="0"/>
        <v>2070.6175499999999</v>
      </c>
      <c r="G23" s="33">
        <f>7019.04</f>
        <v>7019.04</v>
      </c>
      <c r="H23" s="33">
        <f>G23*$K$19*$L$8+0.015</f>
        <v>41412.350999999995</v>
      </c>
      <c r="I23" s="33"/>
      <c r="J23" s="33"/>
    </row>
    <row r="24" spans="1:12" x14ac:dyDescent="0.25">
      <c r="A24" s="10">
        <v>17</v>
      </c>
      <c r="B24" s="34" t="s">
        <v>48</v>
      </c>
      <c r="C24" s="13" t="s">
        <v>55</v>
      </c>
      <c r="D24" s="10" t="s">
        <v>38</v>
      </c>
      <c r="E24" s="12">
        <f>29.4*K19</f>
        <v>147</v>
      </c>
      <c r="F24" s="12">
        <v>985.77</v>
      </c>
      <c r="G24" s="33">
        <f>24560.58</f>
        <v>24560.58</v>
      </c>
      <c r="H24" s="33">
        <f>G24*$K$19*$L$8+0.015</f>
        <v>144907.43700000001</v>
      </c>
      <c r="I24" s="33"/>
      <c r="J24" s="33"/>
      <c r="K24" s="23">
        <f>SUM(H19:H24)</f>
        <v>416858.79799999995</v>
      </c>
      <c r="L24" s="42"/>
    </row>
    <row r="25" spans="1:12" x14ac:dyDescent="0.25">
      <c r="A25" s="10">
        <v>18</v>
      </c>
      <c r="B25" s="13" t="s">
        <v>49</v>
      </c>
      <c r="C25" s="13" t="s">
        <v>32</v>
      </c>
      <c r="D25" s="10" t="s">
        <v>31</v>
      </c>
      <c r="E25" s="12">
        <f>0.124*$K$25</f>
        <v>10.788</v>
      </c>
      <c r="F25" s="12">
        <f t="shared" si="0"/>
        <v>34014.746612903225</v>
      </c>
      <c r="G25" s="33">
        <f>3574.431</f>
        <v>3574.431</v>
      </c>
      <c r="H25" s="33">
        <f t="shared" ref="H25:H34" si="1">G25*$K$25*$L$8</f>
        <v>366951.08646000002</v>
      </c>
      <c r="I25" s="33"/>
      <c r="J25" s="33"/>
      <c r="K25">
        <v>87</v>
      </c>
    </row>
    <row r="26" spans="1:12" x14ac:dyDescent="0.25">
      <c r="A26" s="10">
        <v>19</v>
      </c>
      <c r="B26" s="13" t="s">
        <v>49</v>
      </c>
      <c r="C26" s="13" t="s">
        <v>45</v>
      </c>
      <c r="D26" s="10" t="s">
        <v>46</v>
      </c>
      <c r="E26" s="35">
        <f>K25</f>
        <v>87</v>
      </c>
      <c r="F26" s="12">
        <f t="shared" si="0"/>
        <v>1745.5869799999998</v>
      </c>
      <c r="G26" s="33">
        <f>1479.311</f>
        <v>1479.3109999999999</v>
      </c>
      <c r="H26" s="33">
        <f t="shared" si="1"/>
        <v>151866.06725999998</v>
      </c>
      <c r="I26" s="33"/>
      <c r="J26" s="33"/>
      <c r="L26" s="23"/>
    </row>
    <row r="27" spans="1:12" x14ac:dyDescent="0.25">
      <c r="A27" s="10">
        <v>20</v>
      </c>
      <c r="B27" s="13" t="s">
        <v>49</v>
      </c>
      <c r="C27" s="13" t="s">
        <v>34</v>
      </c>
      <c r="D27" s="10" t="s">
        <v>35</v>
      </c>
      <c r="E27" s="12">
        <f>2.83*$K$25</f>
        <v>246.21</v>
      </c>
      <c r="F27" s="12">
        <f t="shared" si="0"/>
        <v>223.80847349823318</v>
      </c>
      <c r="G27" s="33">
        <f>536.761</f>
        <v>536.76099999999997</v>
      </c>
      <c r="H27" s="33">
        <f t="shared" si="1"/>
        <v>55103.884259999992</v>
      </c>
      <c r="I27" s="33"/>
      <c r="J27" s="33"/>
      <c r="L27" s="23"/>
    </row>
    <row r="28" spans="1:12" x14ac:dyDescent="0.25">
      <c r="A28" s="10">
        <v>21</v>
      </c>
      <c r="B28" s="13" t="s">
        <v>49</v>
      </c>
      <c r="C28" s="13" t="s">
        <v>36</v>
      </c>
      <c r="D28" s="10" t="s">
        <v>37</v>
      </c>
      <c r="E28" s="12">
        <f>64*$K$25</f>
        <v>5568</v>
      </c>
      <c r="F28" s="12">
        <v>515.79999999999995</v>
      </c>
      <c r="G28" s="33">
        <f>27976.41</f>
        <v>27976.41</v>
      </c>
      <c r="H28" s="33">
        <f t="shared" si="1"/>
        <v>2872058.2505999999</v>
      </c>
      <c r="I28" s="33"/>
      <c r="J28" s="33"/>
      <c r="L28" s="23"/>
    </row>
    <row r="29" spans="1:12" x14ac:dyDescent="0.25">
      <c r="A29" s="10">
        <v>22</v>
      </c>
      <c r="B29" s="13" t="s">
        <v>49</v>
      </c>
      <c r="C29" s="13" t="s">
        <v>52</v>
      </c>
      <c r="D29" s="10" t="s">
        <v>38</v>
      </c>
      <c r="E29" s="12">
        <f>5.87*$K$25+1.2*$K$25</f>
        <v>615.09</v>
      </c>
      <c r="F29" s="12">
        <v>15198.03</v>
      </c>
      <c r="G29" s="33"/>
      <c r="H29" s="33">
        <f t="shared" si="1"/>
        <v>0</v>
      </c>
      <c r="I29" s="33"/>
      <c r="J29" s="33"/>
      <c r="L29" s="23"/>
    </row>
    <row r="30" spans="1:12" x14ac:dyDescent="0.25">
      <c r="A30" s="10">
        <v>23</v>
      </c>
      <c r="B30" s="13" t="s">
        <v>49</v>
      </c>
      <c r="C30" s="13" t="s">
        <v>55</v>
      </c>
      <c r="D30" s="10" t="s">
        <v>38</v>
      </c>
      <c r="E30" s="12">
        <f>39.5*$K$25</f>
        <v>3436.5</v>
      </c>
      <c r="F30" s="12">
        <f t="shared" si="0"/>
        <v>985.76545772151883</v>
      </c>
      <c r="G30" s="33">
        <f>32998.081</f>
        <v>32998.080999999998</v>
      </c>
      <c r="H30" s="33">
        <f t="shared" si="1"/>
        <v>3387582.9954599994</v>
      </c>
      <c r="I30" s="33"/>
      <c r="J30" s="33"/>
      <c r="L30" s="23"/>
    </row>
    <row r="31" spans="1:12" x14ac:dyDescent="0.25">
      <c r="A31" s="10">
        <v>24</v>
      </c>
      <c r="B31" s="13" t="s">
        <v>49</v>
      </c>
      <c r="C31" s="13" t="s">
        <v>40</v>
      </c>
      <c r="D31" s="10" t="s">
        <v>33</v>
      </c>
      <c r="E31" s="12">
        <f>6*$K$25</f>
        <v>522</v>
      </c>
      <c r="F31" s="12">
        <f t="shared" si="0"/>
        <v>170.59869666666668</v>
      </c>
      <c r="G31" s="33">
        <f>867.451</f>
        <v>867.45100000000002</v>
      </c>
      <c r="H31" s="33">
        <f t="shared" si="1"/>
        <v>89052.519660000005</v>
      </c>
      <c r="I31" s="33"/>
      <c r="J31" s="33"/>
      <c r="L31" s="23"/>
    </row>
    <row r="32" spans="1:12" x14ac:dyDescent="0.25">
      <c r="A32" s="10">
        <v>25</v>
      </c>
      <c r="B32" s="13" t="s">
        <v>49</v>
      </c>
      <c r="C32" s="13" t="s">
        <v>41</v>
      </c>
      <c r="D32" s="10" t="s">
        <v>31</v>
      </c>
      <c r="E32" s="12">
        <f>0.13*$K$25</f>
        <v>11.31</v>
      </c>
      <c r="F32" s="12">
        <v>459.57</v>
      </c>
      <c r="G32" s="33">
        <f>36.9617</f>
        <v>36.9617</v>
      </c>
      <c r="H32" s="33">
        <f t="shared" si="1"/>
        <v>3794.4881219999997</v>
      </c>
      <c r="I32" s="33"/>
      <c r="J32" s="33"/>
      <c r="L32" s="23"/>
    </row>
    <row r="33" spans="1:12" x14ac:dyDescent="0.25">
      <c r="A33" s="10">
        <v>26</v>
      </c>
      <c r="B33" s="13" t="s">
        <v>49</v>
      </c>
      <c r="C33" s="13" t="s">
        <v>53</v>
      </c>
      <c r="D33" s="10" t="s">
        <v>31</v>
      </c>
      <c r="E33" s="12">
        <f>33.1*$K$25</f>
        <v>2879.7000000000003</v>
      </c>
      <c r="F33" s="12">
        <f>H33/E33</f>
        <v>115.97196858006041</v>
      </c>
      <c r="G33" s="33">
        <f>3253.112</f>
        <v>3253.1120000000001</v>
      </c>
      <c r="H33" s="33">
        <f t="shared" si="1"/>
        <v>333964.47791999998</v>
      </c>
      <c r="I33" s="33"/>
      <c r="J33" s="33"/>
      <c r="L33" s="23"/>
    </row>
    <row r="34" spans="1:12" x14ac:dyDescent="0.25">
      <c r="A34" s="10">
        <v>27</v>
      </c>
      <c r="B34" s="13" t="s">
        <v>49</v>
      </c>
      <c r="C34" s="13" t="s">
        <v>44</v>
      </c>
      <c r="D34" s="10" t="s">
        <v>31</v>
      </c>
      <c r="E34" s="12">
        <f>0.721*$K$25</f>
        <v>62.726999999999997</v>
      </c>
      <c r="F34" s="12">
        <f t="shared" si="0"/>
        <v>1226.5158945908461</v>
      </c>
      <c r="G34" s="33">
        <f>749.422</f>
        <v>749.42200000000003</v>
      </c>
      <c r="H34" s="33">
        <f t="shared" si="1"/>
        <v>76935.662519999998</v>
      </c>
      <c r="I34" s="33"/>
      <c r="J34" s="33"/>
      <c r="K34" s="23">
        <f>SUM(H25:H34)</f>
        <v>7337309.4322619988</v>
      </c>
      <c r="L34" s="23"/>
    </row>
    <row r="35" spans="1:12" x14ac:dyDescent="0.25">
      <c r="A35" s="13"/>
      <c r="B35" s="13"/>
      <c r="C35" s="14" t="s">
        <v>54</v>
      </c>
      <c r="D35" s="10"/>
      <c r="E35" s="10"/>
      <c r="F35" s="10"/>
      <c r="G35" s="33"/>
      <c r="H35" s="37">
        <f>SUM(H8:H34)</f>
        <v>11334869.687031997</v>
      </c>
      <c r="I35" s="37"/>
      <c r="J35" s="37"/>
      <c r="K35">
        <f>H35/1.18</f>
        <v>9605821.7686711848</v>
      </c>
    </row>
    <row r="36" spans="1:12" x14ac:dyDescent="0.25">
      <c r="A36" s="13"/>
      <c r="B36" s="13"/>
      <c r="C36" s="38" t="s">
        <v>66</v>
      </c>
      <c r="D36" s="10"/>
      <c r="E36" s="10"/>
      <c r="F36" s="10"/>
      <c r="G36" s="39"/>
      <c r="H36" s="33">
        <v>1729047.92</v>
      </c>
      <c r="I36" s="33"/>
      <c r="J36" s="33"/>
      <c r="K36" s="23">
        <f>K35*18%</f>
        <v>1729047.9183608133</v>
      </c>
    </row>
    <row r="37" spans="1:12" ht="36.75" customHeight="1" x14ac:dyDescent="0.25">
      <c r="A37" s="45"/>
      <c r="K37" s="45"/>
    </row>
    <row r="38" spans="1:12" ht="15" customHeight="1" x14ac:dyDescent="0.25">
      <c r="A38" s="45"/>
      <c r="K38" s="45"/>
    </row>
    <row r="39" spans="1:12" ht="15.75" x14ac:dyDescent="0.25">
      <c r="A39" s="6"/>
      <c r="B39" s="6"/>
      <c r="C39" s="6"/>
      <c r="D39" s="6"/>
      <c r="E39" s="6"/>
      <c r="F39" s="6"/>
      <c r="G39" s="40"/>
      <c r="H39" s="6"/>
      <c r="I39" s="6"/>
      <c r="J39" s="6"/>
      <c r="K39" s="45"/>
    </row>
    <row r="40" spans="1:12" ht="32.25" customHeight="1" x14ac:dyDescent="0.25">
      <c r="G40" s="23"/>
    </row>
    <row r="41" spans="1:12" x14ac:dyDescent="0.25">
      <c r="G41" s="23"/>
    </row>
    <row r="42" spans="1:12" x14ac:dyDescent="0.25">
      <c r="G42" s="23"/>
    </row>
    <row r="43" spans="1:12" x14ac:dyDescent="0.25">
      <c r="G43" s="23"/>
    </row>
  </sheetData>
  <mergeCells count="11">
    <mergeCell ref="E1:H1"/>
    <mergeCell ref="A2:H2"/>
    <mergeCell ref="A3:H3"/>
    <mergeCell ref="I5:J5"/>
    <mergeCell ref="E5:E6"/>
    <mergeCell ref="F5:F6"/>
    <mergeCell ref="A5:A6"/>
    <mergeCell ref="B5:B6"/>
    <mergeCell ref="C5:C6"/>
    <mergeCell ref="D5:D6"/>
    <mergeCell ref="H5:H6"/>
  </mergeCells>
  <pageMargins left="0.7" right="0.7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стр.1</vt:lpstr>
      <vt:lpstr>стр.3</vt:lpstr>
      <vt:lpstr>стр.4</vt:lpstr>
      <vt:lpstr>стр.1!Область_печати</vt:lpstr>
      <vt:lpstr>стр.3!Область_печати</vt:lpstr>
      <vt:lpstr>стр.4!Область_печати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2015-02-18T10:24:34Z</dcterms:modified>
</cp:coreProperties>
</file>